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stercountypa.sharepoint.com/sites/Health/Shared Documents/General/HealthENV/Admin/EH Share/2 - Sewage &amp; Water Division/5- Policies &amp; Procedures - Active Projects/3- Projects/PASEO Presentation/"/>
    </mc:Choice>
  </mc:AlternateContent>
  <xr:revisionPtr revIDLastSave="102" documentId="8_{BABDBA93-E269-40D9-BB65-41237E74362A}" xr6:coauthVersionLast="47" xr6:coauthVersionMax="47" xr10:uidLastSave="{0AAC8065-2017-45FC-BCFE-A6F9A0A0F012}"/>
  <bookViews>
    <workbookView xWindow="-28920" yWindow="-120" windowWidth="29040" windowHeight="15840" xr2:uid="{95DF942B-026D-406B-ACE9-612E4FC6BCA3}"/>
  </bookViews>
  <sheets>
    <sheet name="Perc - Minimum Sizing" sheetId="1" r:id="rId1"/>
    <sheet name="Minimum Dosing" sheetId="6" r:id="rId2"/>
    <sheet name="DO NOT EDI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6" i="1"/>
  <c r="P5" i="6"/>
  <c r="J25" i="6"/>
  <c r="J26" i="6" s="1"/>
  <c r="J21" i="6"/>
  <c r="J17" i="6"/>
  <c r="J18" i="6" s="1"/>
  <c r="L6" i="6"/>
  <c r="L5" i="6"/>
  <c r="L4" i="6"/>
  <c r="D23" i="6"/>
  <c r="D22" i="6"/>
  <c r="C21" i="6"/>
  <c r="D21" i="6" s="1"/>
  <c r="C20" i="6"/>
  <c r="D20" i="6" s="1"/>
  <c r="C19" i="6"/>
  <c r="D19" i="6" s="1"/>
  <c r="C18" i="6"/>
  <c r="D18" i="6" s="1"/>
  <c r="C17" i="6"/>
  <c r="D17" i="6" s="1"/>
  <c r="C16" i="6"/>
  <c r="D16" i="6" s="1"/>
  <c r="C5" i="6"/>
  <c r="D5" i="6" s="1"/>
  <c r="C6" i="6"/>
  <c r="D6" i="6" s="1"/>
  <c r="C7" i="6"/>
  <c r="D7" i="6" s="1"/>
  <c r="C8" i="6"/>
  <c r="D8" i="6" s="1"/>
  <c r="C9" i="6"/>
  <c r="D9" i="6" s="1"/>
  <c r="C4" i="6"/>
  <c r="D4" i="6" s="1"/>
  <c r="D11" i="6"/>
  <c r="D10" i="6"/>
  <c r="I21" i="4"/>
  <c r="J23" i="4"/>
  <c r="B16" i="4"/>
  <c r="C16" i="4" s="1"/>
  <c r="E16" i="4" s="1"/>
  <c r="B15" i="4"/>
  <c r="C15" i="4" s="1"/>
  <c r="E15" i="4" s="1"/>
  <c r="B14" i="4"/>
  <c r="C14" i="4" s="1"/>
  <c r="E14" i="4" s="1"/>
  <c r="B13" i="4"/>
  <c r="C13" i="4" s="1"/>
  <c r="E13" i="4" s="1"/>
  <c r="B12" i="4"/>
  <c r="C12" i="4" s="1"/>
  <c r="E12" i="4" s="1"/>
  <c r="L7" i="6" l="1"/>
  <c r="L8" i="6" s="1"/>
  <c r="A21" i="4"/>
  <c r="G22" i="4" s="1"/>
  <c r="D24" i="6"/>
  <c r="D12" i="6"/>
  <c r="H22" i="4"/>
  <c r="J22" i="4"/>
  <c r="J21" i="4"/>
  <c r="E17" i="4"/>
  <c r="B28" i="1" s="1"/>
  <c r="D23" i="4" l="1"/>
  <c r="C22" i="4"/>
  <c r="G23" i="4"/>
  <c r="H23" i="4" s="1"/>
  <c r="C29" i="4"/>
  <c r="G26" i="4"/>
  <c r="J26" i="4" s="1"/>
  <c r="D26" i="4" s="1"/>
  <c r="G29" i="4"/>
  <c r="J29" i="4" s="1"/>
  <c r="C25" i="4"/>
  <c r="D22" i="4"/>
  <c r="G27" i="4"/>
  <c r="J27" i="4" s="1"/>
  <c r="D27" i="4" s="1"/>
  <c r="C27" i="4"/>
  <c r="G25" i="4"/>
  <c r="H25" i="4" s="1"/>
  <c r="D28" i="4"/>
  <c r="C21" i="4"/>
  <c r="G28" i="4"/>
  <c r="J28" i="4" s="1"/>
  <c r="D29" i="4"/>
  <c r="G24" i="4"/>
  <c r="H24" i="4" s="1"/>
  <c r="C24" i="4" s="1"/>
  <c r="C28" i="4"/>
  <c r="G21" i="4"/>
  <c r="C23" i="4"/>
  <c r="D21" i="4"/>
  <c r="C26" i="6"/>
  <c r="O8" i="6" s="1"/>
  <c r="O11" i="6" s="1"/>
  <c r="J24" i="4" l="1"/>
  <c r="D24" i="4" s="1"/>
  <c r="J25" i="4"/>
  <c r="D25" i="4" s="1"/>
  <c r="H26" i="4"/>
  <c r="C26" i="4" s="1"/>
  <c r="B29" i="1" s="1"/>
  <c r="B30" i="1" l="1"/>
</calcChain>
</file>

<file path=xl/sharedStrings.xml><?xml version="1.0" encoding="utf-8"?>
<sst xmlns="http://schemas.openxmlformats.org/spreadsheetml/2006/main" count="147" uniqueCount="91">
  <si>
    <t>Average Perc</t>
  </si>
  <si>
    <t>GPD</t>
  </si>
  <si>
    <t xml:space="preserve">Length </t>
  </si>
  <si>
    <t>Round Tank</t>
  </si>
  <si>
    <t>Inside Diameter</t>
  </si>
  <si>
    <t>Tank Size</t>
  </si>
  <si>
    <t>Range of GPD</t>
  </si>
  <si>
    <t>Enter GPD</t>
  </si>
  <si>
    <t>Required Gallons</t>
  </si>
  <si>
    <t>0-500</t>
  </si>
  <si>
    <t>500-5000</t>
  </si>
  <si>
    <t>5000-7500</t>
  </si>
  <si>
    <t>7500-10000</t>
  </si>
  <si>
    <t>10000+</t>
  </si>
  <si>
    <t>Perc Test Results</t>
  </si>
  <si>
    <t>Hole Number</t>
  </si>
  <si>
    <t>Final Reading</t>
  </si>
  <si>
    <t xml:space="preserve">Time Interval </t>
  </si>
  <si>
    <t>Average Perc Rate</t>
  </si>
  <si>
    <t>Hole Rate</t>
  </si>
  <si>
    <t>Elevated or Subsurface Absoption Area</t>
  </si>
  <si>
    <t>Range</t>
  </si>
  <si>
    <t>In Ground</t>
  </si>
  <si>
    <t>Sub</t>
  </si>
  <si>
    <t>3-5</t>
  </si>
  <si>
    <t xml:space="preserve">Unsuitable </t>
  </si>
  <si>
    <t>6-15</t>
  </si>
  <si>
    <t>16-30</t>
  </si>
  <si>
    <t>31-45</t>
  </si>
  <si>
    <t>46-60</t>
  </si>
  <si>
    <t>61-90</t>
  </si>
  <si>
    <t>91-120</t>
  </si>
  <si>
    <t>121-150</t>
  </si>
  <si>
    <t>151-180</t>
  </si>
  <si>
    <t>Perc Time List</t>
  </si>
  <si>
    <t>Gallons</t>
  </si>
  <si>
    <t>SqFt</t>
  </si>
  <si>
    <t>Minimum Requirements</t>
  </si>
  <si>
    <t>Tank Capacity</t>
  </si>
  <si>
    <t>Inground Absorption Area</t>
  </si>
  <si>
    <t>Absorbtion Area Size (Perc Filter)</t>
  </si>
  <si>
    <t>Absorbtion Area Size (Math)</t>
  </si>
  <si>
    <t>Actual Dose</t>
  </si>
  <si>
    <t>Total Head</t>
  </si>
  <si>
    <t>1 1/2"</t>
  </si>
  <si>
    <t>2"</t>
  </si>
  <si>
    <t>Fittings</t>
  </si>
  <si>
    <t>Quantity</t>
  </si>
  <si>
    <t>Equiv Length</t>
  </si>
  <si>
    <t>Total</t>
  </si>
  <si>
    <t>90 Elbow</t>
  </si>
  <si>
    <t>45 Elbow</t>
  </si>
  <si>
    <t>Std. Tee</t>
  </si>
  <si>
    <t>Couplings</t>
  </si>
  <si>
    <t>Quick Disc.</t>
  </si>
  <si>
    <t>Check Valve</t>
  </si>
  <si>
    <t>Other</t>
  </si>
  <si>
    <t>Force Line</t>
  </si>
  <si>
    <t>3"</t>
  </si>
  <si>
    <t>4"</t>
  </si>
  <si>
    <t>6"</t>
  </si>
  <si>
    <t>8"</t>
  </si>
  <si>
    <t>Eq Lengths</t>
  </si>
  <si>
    <t>Equivalent Length</t>
  </si>
  <si>
    <t>Eq Length List</t>
  </si>
  <si>
    <t>Pipe Size</t>
  </si>
  <si>
    <t>Inches</t>
  </si>
  <si>
    <t xml:space="preserve">Total Equivalent Length </t>
  </si>
  <si>
    <t>Minimum Dose</t>
  </si>
  <si>
    <t>Gal/Ft</t>
  </si>
  <si>
    <t>Delivery Line</t>
  </si>
  <si>
    <t>Manifold</t>
  </si>
  <si>
    <t>Laterals</t>
  </si>
  <si>
    <t>Gal/Ft List</t>
  </si>
  <si>
    <t>Actual Diameter</t>
  </si>
  <si>
    <t>Rectanglar Tank</t>
  </si>
  <si>
    <t>Inside Width</t>
  </si>
  <si>
    <t>Height between on and off</t>
  </si>
  <si>
    <t>Gal/Inch</t>
  </si>
  <si>
    <t xml:space="preserve">Pi </t>
  </si>
  <si>
    <t>Inside Radius</t>
  </si>
  <si>
    <t>Head</t>
  </si>
  <si>
    <t>Friction Head</t>
  </si>
  <si>
    <t>Static Head</t>
  </si>
  <si>
    <t>Residual Head</t>
  </si>
  <si>
    <t>GPM</t>
  </si>
  <si>
    <t>Diameter</t>
  </si>
  <si>
    <t>Friction Loss</t>
  </si>
  <si>
    <t>Actual Diameter List</t>
  </si>
  <si>
    <t>X5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</si>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</sst>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DBDC"/>
        <bgColor indexed="64"/>
      </patternFill>
    </fill>
    <fill>
      <patternFill patternType="solid">
        <fgColor rgb="FFD7969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3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4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3" xfId="0" applyBorder="1"/>
    <xf numFmtId="0" fontId="0" fillId="4" borderId="9" xfId="0" applyFill="1" applyBorder="1"/>
    <xf numFmtId="0" fontId="0" fillId="0" borderId="23" xfId="0" applyBorder="1"/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5" borderId="11" xfId="0" applyFill="1" applyBorder="1" applyAlignment="1">
      <alignment horizontal="center"/>
    </xf>
    <xf numFmtId="0" fontId="0" fillId="5" borderId="11" xfId="0" applyFill="1" applyBorder="1"/>
    <xf numFmtId="0" fontId="0" fillId="7" borderId="11" xfId="0" applyFill="1" applyBorder="1"/>
    <xf numFmtId="0" fontId="0" fillId="7" borderId="11" xfId="0" applyFill="1" applyBorder="1" applyAlignment="1">
      <alignment horizontal="center"/>
    </xf>
    <xf numFmtId="2" fontId="0" fillId="4" borderId="9" xfId="0" applyNumberFormat="1" applyFill="1" applyBorder="1" applyAlignment="1">
      <alignment horizontal="center" vertical="center"/>
    </xf>
    <xf numFmtId="0" fontId="0" fillId="4" borderId="11" xfId="0" quotePrefix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0" fillId="4" borderId="11" xfId="0" applyNumberFormat="1" applyFill="1" applyBorder="1" applyAlignment="1">
      <alignment horizontal="center" vertical="center"/>
    </xf>
    <xf numFmtId="16" fontId="0" fillId="4" borderId="11" xfId="0" quotePrefix="1" applyNumberFormat="1" applyFill="1" applyBorder="1" applyAlignment="1">
      <alignment horizontal="center" vertical="center"/>
    </xf>
    <xf numFmtId="0" fontId="0" fillId="4" borderId="29" xfId="0" quotePrefix="1" applyFill="1" applyBorder="1" applyAlignment="1">
      <alignment horizontal="center" vertical="center"/>
    </xf>
    <xf numFmtId="2" fontId="1" fillId="4" borderId="29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2" fontId="0" fillId="0" borderId="13" xfId="0" applyNumberFormat="1" applyBorder="1" applyAlignment="1">
      <alignment vertical="center"/>
    </xf>
    <xf numFmtId="0" fontId="0" fillId="8" borderId="11" xfId="0" applyFill="1" applyBorder="1"/>
    <xf numFmtId="2" fontId="0" fillId="8" borderId="11" xfId="0" applyNumberFormat="1" applyFill="1" applyBorder="1"/>
    <xf numFmtId="0" fontId="0" fillId="9" borderId="11" xfId="0" applyFill="1" applyBorder="1"/>
    <xf numFmtId="0" fontId="0" fillId="2" borderId="16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4" borderId="9" xfId="0" quotePrefix="1" applyFill="1" applyBorder="1" applyAlignment="1">
      <alignment horizontal="center" vertical="center"/>
    </xf>
    <xf numFmtId="16" fontId="0" fillId="4" borderId="9" xfId="0" quotePrefix="1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1" xfId="0" quotePrefix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0" fillId="9" borderId="20" xfId="0" applyFill="1" applyBorder="1" applyAlignment="1">
      <alignment vertical="center"/>
    </xf>
    <xf numFmtId="0" fontId="0" fillId="8" borderId="11" xfId="0" applyFill="1" applyBorder="1" applyAlignment="1">
      <alignment horizontal="center" vertical="center"/>
    </xf>
    <xf numFmtId="2" fontId="0" fillId="8" borderId="11" xfId="0" applyNumberFormat="1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2" fontId="0" fillId="8" borderId="10" xfId="0" applyNumberFormat="1" applyFill="1" applyBorder="1" applyAlignment="1">
      <alignment horizontal="center" vertical="center"/>
    </xf>
    <xf numFmtId="2" fontId="0" fillId="8" borderId="22" xfId="0" applyNumberFormat="1" applyFill="1" applyBorder="1" applyAlignment="1">
      <alignment horizontal="center" vertical="center"/>
    </xf>
    <xf numFmtId="2" fontId="0" fillId="8" borderId="28" xfId="0" applyNumberFormat="1" applyFill="1" applyBorder="1" applyAlignment="1">
      <alignment horizontal="center" vertical="center"/>
    </xf>
    <xf numFmtId="2" fontId="0" fillId="8" borderId="30" xfId="0" applyNumberForma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31" xfId="0" applyBorder="1"/>
    <xf numFmtId="0" fontId="0" fillId="0" borderId="17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0" fontId="1" fillId="9" borderId="0" xfId="0" applyFont="1" applyFill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/>
    </xf>
    <xf numFmtId="2" fontId="0" fillId="8" borderId="11" xfId="0" applyNumberFormat="1" applyFill="1" applyBorder="1" applyAlignment="1">
      <alignment horizontal="center"/>
    </xf>
    <xf numFmtId="0" fontId="0" fillId="10" borderId="11" xfId="0" applyFill="1" applyBorder="1"/>
    <xf numFmtId="0" fontId="0" fillId="10" borderId="11" xfId="0" applyFill="1" applyBorder="1" applyAlignment="1">
      <alignment horizontal="center"/>
    </xf>
    <xf numFmtId="0" fontId="0" fillId="11" borderId="11" xfId="0" applyFill="1" applyBorder="1"/>
    <xf numFmtId="0" fontId="0" fillId="11" borderId="11" xfId="0" applyFill="1" applyBorder="1" applyAlignment="1">
      <alignment horizontal="center"/>
    </xf>
    <xf numFmtId="0" fontId="0" fillId="0" borderId="33" xfId="0" applyBorder="1" applyAlignment="1">
      <alignment vertical="center"/>
    </xf>
    <xf numFmtId="0" fontId="0" fillId="12" borderId="9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12" borderId="4" xfId="0" applyFill="1" applyBorder="1" applyAlignment="1">
      <alignment vertical="center"/>
    </xf>
    <xf numFmtId="0" fontId="0" fillId="12" borderId="6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12" borderId="21" xfId="0" applyFill="1" applyBorder="1" applyAlignment="1">
      <alignment vertical="center"/>
    </xf>
    <xf numFmtId="0" fontId="0" fillId="4" borderId="29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0" borderId="26" xfId="0" applyBorder="1"/>
    <xf numFmtId="0" fontId="0" fillId="0" borderId="23" xfId="0" applyBorder="1" applyAlignment="1">
      <alignment horizontal="center"/>
    </xf>
    <xf numFmtId="0" fontId="0" fillId="11" borderId="11" xfId="0" applyFill="1" applyBorder="1" applyAlignment="1" applyProtection="1">
      <alignment horizontal="center"/>
      <protection locked="0"/>
    </xf>
    <xf numFmtId="0" fontId="0" fillId="11" borderId="11" xfId="0" quotePrefix="1" applyFill="1" applyBorder="1" applyAlignment="1" applyProtection="1">
      <alignment horizontal="center"/>
      <protection locked="0"/>
    </xf>
    <xf numFmtId="0" fontId="0" fillId="10" borderId="17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5" xfId="0" applyBorder="1"/>
    <xf numFmtId="0" fontId="0" fillId="9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9" borderId="9" xfId="0" applyFill="1" applyBorder="1"/>
    <xf numFmtId="0" fontId="0" fillId="9" borderId="21" xfId="0" applyFill="1" applyBorder="1"/>
    <xf numFmtId="2" fontId="0" fillId="8" borderId="29" xfId="0" applyNumberFormat="1" applyFill="1" applyBorder="1"/>
    <xf numFmtId="2" fontId="0" fillId="11" borderId="11" xfId="0" applyNumberFormat="1" applyFill="1" applyBorder="1" applyAlignment="1">
      <alignment horizontal="center"/>
    </xf>
    <xf numFmtId="0" fontId="0" fillId="0" borderId="27" xfId="0" applyBorder="1"/>
    <xf numFmtId="0" fontId="0" fillId="11" borderId="9" xfId="0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2" fontId="0" fillId="7" borderId="10" xfId="0" applyNumberFormat="1" applyFill="1" applyBorder="1" applyAlignment="1">
      <alignment horizontal="center"/>
    </xf>
    <xf numFmtId="2" fontId="0" fillId="7" borderId="11" xfId="0" applyNumberFormat="1" applyFill="1" applyBorder="1" applyAlignment="1">
      <alignment horizontal="center"/>
    </xf>
    <xf numFmtId="2" fontId="0" fillId="8" borderId="29" xfId="0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8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DBDC"/>
      <color rgb="FFD79694"/>
      <color rgb="FFEBF1DE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013AA-0E5E-41FD-84AD-F9193E545E7E}">
  <dimension ref="A2:D30"/>
  <sheetViews>
    <sheetView tabSelected="1" workbookViewId="0">
      <selection activeCell="F4" sqref="F4"/>
    </sheetView>
  </sheetViews>
  <sheetFormatPr defaultRowHeight="15" x14ac:dyDescent="0.25"/>
  <cols>
    <col min="1" max="1" width="45" bestFit="1" customWidth="1"/>
    <col min="2" max="2" width="12.85546875" bestFit="1" customWidth="1"/>
    <col min="3" max="3" width="13.28515625" bestFit="1" customWidth="1"/>
    <col min="4" max="4" width="14.42578125" bestFit="1" customWidth="1"/>
  </cols>
  <sheetData>
    <row r="2" spans="1:4" x14ac:dyDescent="0.25">
      <c r="A2" s="64" t="s">
        <v>1</v>
      </c>
      <c r="B2" s="67" t="s">
        <v>90</v>
      </c>
    </row>
    <row r="4" spans="1:4" x14ac:dyDescent="0.25">
      <c r="A4" s="107" t="s">
        <v>14</v>
      </c>
      <c r="B4" s="107"/>
      <c r="C4" s="107"/>
      <c r="D4" s="107"/>
    </row>
    <row r="5" spans="1:4" x14ac:dyDescent="0.25">
      <c r="A5" s="16" t="s">
        <v>15</v>
      </c>
      <c r="B5" s="65" t="s">
        <v>16</v>
      </c>
      <c r="C5" s="65" t="s">
        <v>17</v>
      </c>
      <c r="D5" s="16" t="s">
        <v>19</v>
      </c>
    </row>
    <row r="6" spans="1:4" x14ac:dyDescent="0.25">
      <c r="A6" s="18">
        <v>1</v>
      </c>
      <c r="B6" s="67"/>
      <c r="C6" s="67"/>
      <c r="D6" s="19" t="str">
        <f>IFERROR(C6/B6, "-")</f>
        <v>-</v>
      </c>
    </row>
    <row r="7" spans="1:4" x14ac:dyDescent="0.25">
      <c r="A7" s="18">
        <v>2</v>
      </c>
      <c r="B7" s="67"/>
      <c r="C7" s="67"/>
      <c r="D7" s="19" t="str">
        <f t="shared" ref="D7:D23" si="0">IFERROR(C7/B7, "-")</f>
        <v>-</v>
      </c>
    </row>
    <row r="8" spans="1:4" x14ac:dyDescent="0.25">
      <c r="A8" s="18">
        <v>3</v>
      </c>
      <c r="B8" s="67"/>
      <c r="C8" s="67"/>
      <c r="D8" s="19" t="str">
        <f t="shared" si="0"/>
        <v>-</v>
      </c>
    </row>
    <row r="9" spans="1:4" x14ac:dyDescent="0.25">
      <c r="A9" s="18">
        <v>4</v>
      </c>
      <c r="B9" s="67"/>
      <c r="C9" s="67"/>
      <c r="D9" s="19" t="str">
        <f t="shared" si="0"/>
        <v>-</v>
      </c>
    </row>
    <row r="10" spans="1:4" x14ac:dyDescent="0.25">
      <c r="A10" s="18">
        <v>5</v>
      </c>
      <c r="B10" s="67"/>
      <c r="C10" s="67"/>
      <c r="D10" s="19" t="str">
        <f t="shared" si="0"/>
        <v>-</v>
      </c>
    </row>
    <row r="11" spans="1:4" x14ac:dyDescent="0.25">
      <c r="A11" s="18">
        <v>6</v>
      </c>
      <c r="B11" s="67"/>
      <c r="C11" s="67"/>
      <c r="D11" s="19" t="str">
        <f t="shared" si="0"/>
        <v>-</v>
      </c>
    </row>
    <row r="12" spans="1:4" x14ac:dyDescent="0.25">
      <c r="A12" s="18">
        <v>7</v>
      </c>
      <c r="B12" s="67"/>
      <c r="C12" s="67"/>
      <c r="D12" s="19" t="str">
        <f t="shared" si="0"/>
        <v>-</v>
      </c>
    </row>
    <row r="13" spans="1:4" x14ac:dyDescent="0.25">
      <c r="A13" s="18">
        <v>8</v>
      </c>
      <c r="B13" s="67"/>
      <c r="C13" s="67"/>
      <c r="D13" s="19" t="str">
        <f t="shared" si="0"/>
        <v>-</v>
      </c>
    </row>
    <row r="14" spans="1:4" x14ac:dyDescent="0.25">
      <c r="A14" s="18">
        <v>9</v>
      </c>
      <c r="B14" s="67"/>
      <c r="C14" s="67"/>
      <c r="D14" s="19" t="str">
        <f t="shared" si="0"/>
        <v>-</v>
      </c>
    </row>
    <row r="15" spans="1:4" x14ac:dyDescent="0.25">
      <c r="A15" s="18">
        <v>10</v>
      </c>
      <c r="B15" s="67"/>
      <c r="C15" s="67"/>
      <c r="D15" s="19" t="str">
        <f t="shared" si="0"/>
        <v>-</v>
      </c>
    </row>
    <row r="16" spans="1:4" x14ac:dyDescent="0.25">
      <c r="A16" s="18">
        <v>11</v>
      </c>
      <c r="B16" s="67"/>
      <c r="C16" s="67"/>
      <c r="D16" s="19" t="str">
        <f t="shared" si="0"/>
        <v>-</v>
      </c>
    </row>
    <row r="17" spans="1:4" x14ac:dyDescent="0.25">
      <c r="A17" s="18">
        <v>12</v>
      </c>
      <c r="B17" s="67"/>
      <c r="C17" s="67"/>
      <c r="D17" s="19" t="str">
        <f t="shared" si="0"/>
        <v>-</v>
      </c>
    </row>
    <row r="18" spans="1:4" x14ac:dyDescent="0.25">
      <c r="A18" s="18">
        <v>13</v>
      </c>
      <c r="B18" s="67"/>
      <c r="C18" s="67"/>
      <c r="D18" s="19" t="str">
        <f t="shared" si="0"/>
        <v>-</v>
      </c>
    </row>
    <row r="19" spans="1:4" x14ac:dyDescent="0.25">
      <c r="A19" s="18">
        <v>14</v>
      </c>
      <c r="B19" s="67"/>
      <c r="C19" s="67"/>
      <c r="D19" s="19" t="str">
        <f t="shared" si="0"/>
        <v>-</v>
      </c>
    </row>
    <row r="20" spans="1:4" x14ac:dyDescent="0.25">
      <c r="A20" s="18">
        <v>15</v>
      </c>
      <c r="B20" s="67"/>
      <c r="C20" s="67"/>
      <c r="D20" s="19" t="str">
        <f t="shared" si="0"/>
        <v>-</v>
      </c>
    </row>
    <row r="21" spans="1:4" x14ac:dyDescent="0.25">
      <c r="A21" s="18">
        <v>16</v>
      </c>
      <c r="B21" s="67"/>
      <c r="C21" s="67"/>
      <c r="D21" s="19" t="str">
        <f t="shared" si="0"/>
        <v>-</v>
      </c>
    </row>
    <row r="22" spans="1:4" x14ac:dyDescent="0.25">
      <c r="A22" s="18">
        <v>17</v>
      </c>
      <c r="B22" s="67"/>
      <c r="C22" s="67"/>
      <c r="D22" s="19" t="str">
        <f t="shared" si="0"/>
        <v>-</v>
      </c>
    </row>
    <row r="23" spans="1:4" x14ac:dyDescent="0.25">
      <c r="A23" s="18">
        <v>18</v>
      </c>
      <c r="B23" s="67"/>
      <c r="C23" s="67"/>
      <c r="D23" s="19" t="str">
        <f t="shared" si="0"/>
        <v>-</v>
      </c>
    </row>
    <row r="25" spans="1:4" x14ac:dyDescent="0.25">
      <c r="A25" s="17" t="s">
        <v>18</v>
      </c>
      <c r="B25" s="105" t="str">
        <f>IFERROR(AVERAGE(D6:D23), "-")</f>
        <v>-</v>
      </c>
    </row>
    <row r="27" spans="1:4" x14ac:dyDescent="0.25">
      <c r="A27" s="107" t="s">
        <v>37</v>
      </c>
      <c r="B27" s="107"/>
      <c r="C27" s="107"/>
    </row>
    <row r="28" spans="1:4" x14ac:dyDescent="0.25">
      <c r="A28" s="31" t="s">
        <v>38</v>
      </c>
      <c r="B28" s="62">
        <f>'DO NOT EDIT'!E17</f>
        <v>0</v>
      </c>
      <c r="C28" s="16" t="s">
        <v>35</v>
      </c>
    </row>
    <row r="29" spans="1:4" x14ac:dyDescent="0.25">
      <c r="A29" s="31" t="s">
        <v>39</v>
      </c>
      <c r="B29" s="63">
        <f>SUM('DO NOT EDIT'!C21:C29)</f>
        <v>0</v>
      </c>
      <c r="C29" s="16" t="s">
        <v>36</v>
      </c>
    </row>
    <row r="30" spans="1:4" x14ac:dyDescent="0.25">
      <c r="A30" s="31" t="s">
        <v>20</v>
      </c>
      <c r="B30" s="63">
        <f>(SUM('DO NOT EDIT'!D21:D29))</f>
        <v>0</v>
      </c>
      <c r="C30" s="16" t="s">
        <v>36</v>
      </c>
    </row>
  </sheetData>
  <mergeCells count="2">
    <mergeCell ref="A4:D4"/>
    <mergeCell ref="A27:C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C1D6E6C-BA24-436A-890D-36D7E8053692}">
          <x14:formula1>
            <xm:f>'DO NOT EDIT'!$A$2:$A$4</xm:f>
          </x14:formula1>
          <xm:sqref>C6:C23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E41FE-5C63-40C1-9F39-3B0ABDD72629}">
  <dimension ref="A1:P26"/>
  <sheetViews>
    <sheetView workbookViewId="0">
      <selection activeCell="N7" sqref="N7"/>
    </sheetView>
  </sheetViews>
  <sheetFormatPr defaultRowHeight="15" x14ac:dyDescent="0.25"/>
  <cols>
    <col min="1" max="1" width="11.7109375" bestFit="1" customWidth="1"/>
    <col min="3" max="3" width="12.28515625" bestFit="1" customWidth="1"/>
    <col min="9" max="9" width="25.140625" bestFit="1" customWidth="1"/>
    <col min="10" max="10" width="10.5703125" bestFit="1" customWidth="1"/>
    <col min="14" max="14" width="13.7109375" bestFit="1" customWidth="1"/>
    <col min="16" max="16" width="11.85546875" bestFit="1" customWidth="1"/>
  </cols>
  <sheetData>
    <row r="1" spans="1:16" ht="15.75" thickBot="1" x14ac:dyDescent="0.3"/>
    <row r="2" spans="1:16" ht="15.75" thickBot="1" x14ac:dyDescent="0.3">
      <c r="A2" s="110" t="s">
        <v>63</v>
      </c>
      <c r="B2" s="111"/>
      <c r="C2" s="111"/>
      <c r="D2" s="112"/>
      <c r="E2" s="2"/>
      <c r="F2" s="113" t="s">
        <v>65</v>
      </c>
      <c r="G2" s="114"/>
      <c r="I2" s="110" t="s">
        <v>68</v>
      </c>
      <c r="J2" s="111"/>
      <c r="K2" s="111"/>
      <c r="L2" s="112"/>
      <c r="N2" s="110" t="s">
        <v>81</v>
      </c>
      <c r="O2" s="111"/>
      <c r="P2" s="112"/>
    </row>
    <row r="3" spans="1:16" x14ac:dyDescent="0.25">
      <c r="A3" s="79" t="s">
        <v>46</v>
      </c>
      <c r="B3" s="85" t="s">
        <v>47</v>
      </c>
      <c r="C3" s="80" t="s">
        <v>48</v>
      </c>
      <c r="D3" s="80" t="s">
        <v>49</v>
      </c>
      <c r="F3" s="67"/>
      <c r="G3" s="89" t="s">
        <v>66</v>
      </c>
      <c r="I3" s="1"/>
      <c r="J3" s="88" t="s">
        <v>2</v>
      </c>
      <c r="K3" s="88" t="s">
        <v>69</v>
      </c>
      <c r="L3" s="92" t="s">
        <v>35</v>
      </c>
      <c r="N3" s="100"/>
      <c r="O3" s="2"/>
      <c r="P3" s="3"/>
    </row>
    <row r="4" spans="1:16" x14ac:dyDescent="0.25">
      <c r="A4" s="8" t="s">
        <v>50</v>
      </c>
      <c r="B4" s="83"/>
      <c r="C4" s="5" t="str">
        <f>IF($F$3=1.5,'DO NOT EDIT'!B33,IF($F$3=2,'DO NOT EDIT'!C33,IF($F$3=3,'DO NOT EDIT'!D33,IF($F$3=4,'DO NOT EDIT'!F33,IF($F$3=6,'DO NOT EDIT'!G33,IF($F$3=8,'DO NOT EDIT'!H33,"N/a"))))))</f>
        <v>N/a</v>
      </c>
      <c r="D4" s="5" t="str">
        <f>IFERROR(B4*C4, "0")</f>
        <v>0</v>
      </c>
      <c r="G4" s="4"/>
      <c r="I4" s="8" t="s">
        <v>70</v>
      </c>
      <c r="J4" s="83"/>
      <c r="K4" s="83"/>
      <c r="L4" s="6" t="str">
        <f>IF(K4=1.5,'DO NOT EDIT'!M32*'Minimum Dosing'!J4, IF(K4=2,'DO NOT EDIT'!M33*'Minimum Dosing'!J4,IF(K4=3,'DO NOT EDIT'!M34*'Minimum Dosing'!J4,IF(K4=4,'DO NOT EDIT'!M35*'Minimum Dosing'!J4, "-"))))</f>
        <v>-</v>
      </c>
      <c r="N4" s="102" t="s">
        <v>85</v>
      </c>
      <c r="O4" s="17" t="s">
        <v>86</v>
      </c>
      <c r="P4" s="103" t="s">
        <v>87</v>
      </c>
    </row>
    <row r="5" spans="1:16" x14ac:dyDescent="0.25">
      <c r="A5" s="8" t="s">
        <v>51</v>
      </c>
      <c r="B5" s="83"/>
      <c r="C5" s="5" t="str">
        <f>IF($F$3=1.5,'DO NOT EDIT'!B34,IF($F$3=2,'DO NOT EDIT'!C34,IF($F$3=3,'DO NOT EDIT'!D34,IF($F$3=4,'DO NOT EDIT'!F34,IF($F$3=6,'DO NOT EDIT'!G34,IF($F$3=8,'DO NOT EDIT'!H34,"N/a"))))))</f>
        <v>N/a</v>
      </c>
      <c r="D5" s="5" t="str">
        <f t="shared" ref="D5:D9" si="0">IFERROR(B5*C5, "0")</f>
        <v>0</v>
      </c>
      <c r="G5" s="4"/>
      <c r="I5" s="8" t="s">
        <v>71</v>
      </c>
      <c r="J5" s="83"/>
      <c r="K5" s="83"/>
      <c r="L5" s="6" t="str">
        <f>IF(K5=1.5,'DO NOT EDIT'!M32*'Minimum Dosing'!J5, IF(K5=2,'DO NOT EDIT'!M33*'Minimum Dosing'!J5,IF(K5=3,'DO NOT EDIT'!M34*'Minimum Dosing'!J5,IF(K5=4,'DO NOT EDIT'!M35*'Minimum Dosing'!J5, "-"))))</f>
        <v>-</v>
      </c>
      <c r="N5" s="101"/>
      <c r="O5" s="67"/>
      <c r="P5" s="104" t="str">
        <f>IFERROR((10.46*((N5/150)^1.852)*100)/(IF(O5=1,'DO NOT EDIT'!J32,IF(O5=1.5,'DO NOT EDIT'!J33,IF('Minimum Dosing'!O5=2,'DO NOT EDIT'!J34,IF('Minimum Dosing'!O5=3,'DO NOT EDIT'!J35,IF('Minimum Dosing'!O5=4,'DO NOT EDIT'!J36,IF('Minimum Dosing'!O5=6,'DO NOT EDIT'!J37,"0"))))))^4.87),"-")</f>
        <v>-</v>
      </c>
    </row>
    <row r="6" spans="1:16" x14ac:dyDescent="0.25">
      <c r="A6" s="8" t="s">
        <v>52</v>
      </c>
      <c r="B6" s="84"/>
      <c r="C6" s="5" t="str">
        <f>IF($F$3=1.5,'DO NOT EDIT'!B35,IF($F$3=2,'DO NOT EDIT'!C35,IF($F$3=3,'DO NOT EDIT'!D35,IF($F$3=4,'DO NOT EDIT'!F35,IF($F$3=6,'DO NOT EDIT'!G35,IF($F$3=8,'DO NOT EDIT'!H35,"N/a"))))))</f>
        <v>N/a</v>
      </c>
      <c r="D6" s="5" t="str">
        <f t="shared" si="0"/>
        <v>0</v>
      </c>
      <c r="G6" s="4"/>
      <c r="I6" s="8" t="s">
        <v>72</v>
      </c>
      <c r="J6" s="83"/>
      <c r="K6" s="83"/>
      <c r="L6" s="6" t="str">
        <f>IF(K6=1.5,'DO NOT EDIT'!M32*'Minimum Dosing'!J6, IF(K6=2,'DO NOT EDIT'!M33*'Minimum Dosing'!J6,IF(K6=3,'DO NOT EDIT'!M34*'Minimum Dosing'!J6,IF(K6=4,'DO NOT EDIT'!M35*'Minimum Dosing'!J6, "-"))))</f>
        <v>-</v>
      </c>
      <c r="N6" s="7"/>
      <c r="P6" s="4"/>
    </row>
    <row r="7" spans="1:16" x14ac:dyDescent="0.25">
      <c r="A7" s="8" t="s">
        <v>53</v>
      </c>
      <c r="B7" s="83"/>
      <c r="C7" s="5" t="str">
        <f>IF($F$3=1.5,'DO NOT EDIT'!B36,IF($F$3=2,'DO NOT EDIT'!C36,IF($F$3=3,'DO NOT EDIT'!D36,IF($F$3=4,'DO NOT EDIT'!F36,IF($F$3=6,'DO NOT EDIT'!G36,IF($F$3=8,'DO NOT EDIT'!H36,"N/a"))))))</f>
        <v>N/a</v>
      </c>
      <c r="D7" s="5" t="str">
        <f t="shared" si="0"/>
        <v>0</v>
      </c>
      <c r="G7" s="4"/>
      <c r="I7" s="7"/>
      <c r="K7" s="91" t="s">
        <v>49</v>
      </c>
      <c r="L7" s="93">
        <f>SUM(L4:L6)</f>
        <v>0</v>
      </c>
      <c r="N7" s="7"/>
      <c r="P7" s="4"/>
    </row>
    <row r="8" spans="1:16" ht="15.75" thickBot="1" x14ac:dyDescent="0.3">
      <c r="A8" s="8" t="s">
        <v>54</v>
      </c>
      <c r="B8" s="83"/>
      <c r="C8" s="5" t="str">
        <f>IF($F$3=1.5,'DO NOT EDIT'!B37,IF($F$3=2,'DO NOT EDIT'!C37,IF($F$3=3,'DO NOT EDIT'!D37,IF($F$3=4,'DO NOT EDIT'!F37,IF($F$3=6,'DO NOT EDIT'!G37,IF($F$3=8,'DO NOT EDIT'!H37,"N/a"))))))</f>
        <v>N/a</v>
      </c>
      <c r="D8" s="5" t="str">
        <f t="shared" si="0"/>
        <v>0</v>
      </c>
      <c r="G8" s="4"/>
      <c r="I8" s="81"/>
      <c r="J8" s="9"/>
      <c r="K8" s="94" t="s">
        <v>89</v>
      </c>
      <c r="L8" s="95">
        <f>L7*5</f>
        <v>0</v>
      </c>
      <c r="N8" s="102" t="s">
        <v>82</v>
      </c>
      <c r="O8" s="105" t="str">
        <f>IFERROR((C26*(P5/100)),"-")</f>
        <v>-</v>
      </c>
      <c r="P8" s="4"/>
    </row>
    <row r="9" spans="1:16" ht="15.75" thickBot="1" x14ac:dyDescent="0.3">
      <c r="A9" s="8" t="s">
        <v>55</v>
      </c>
      <c r="B9" s="83"/>
      <c r="C9" s="5" t="str">
        <f>IF($F$3=1.5,'DO NOT EDIT'!B38,IF($F$3=2,'DO NOT EDIT'!C38,IF($F$3=3,'DO NOT EDIT'!D38,IF($F$3=4,'DO NOT EDIT'!F38,IF($F$3=6,'DO NOT EDIT'!G38,IF($F$3=8,'DO NOT EDIT'!H38,"N/a"))))))</f>
        <v>N/a</v>
      </c>
      <c r="D9" s="5" t="str">
        <f t="shared" si="0"/>
        <v>0</v>
      </c>
      <c r="G9" s="4"/>
      <c r="N9" s="102" t="s">
        <v>83</v>
      </c>
      <c r="O9" s="99"/>
      <c r="P9" s="4"/>
    </row>
    <row r="10" spans="1:16" ht="15.75" thickBot="1" x14ac:dyDescent="0.3">
      <c r="A10" s="8" t="s">
        <v>56</v>
      </c>
      <c r="B10" s="83"/>
      <c r="C10" s="83"/>
      <c r="D10" s="5">
        <f t="shared" ref="D10:D11" si="1">B10*C10</f>
        <v>0</v>
      </c>
      <c r="G10" s="4"/>
      <c r="I10" s="110" t="s">
        <v>42</v>
      </c>
      <c r="J10" s="111"/>
      <c r="K10" s="112"/>
      <c r="N10" s="102" t="s">
        <v>84</v>
      </c>
      <c r="O10" s="99"/>
      <c r="P10" s="4"/>
    </row>
    <row r="11" spans="1:16" ht="15.75" thickBot="1" x14ac:dyDescent="0.3">
      <c r="A11" s="8" t="s">
        <v>57</v>
      </c>
      <c r="B11" s="83"/>
      <c r="C11" s="5">
        <v>1</v>
      </c>
      <c r="D11" s="5">
        <f t="shared" si="1"/>
        <v>0</v>
      </c>
      <c r="G11" s="4"/>
      <c r="I11" s="7"/>
      <c r="K11" s="4"/>
      <c r="N11" s="97" t="s">
        <v>43</v>
      </c>
      <c r="O11" s="106">
        <f>SUM(O8:O10)</f>
        <v>0</v>
      </c>
      <c r="P11" s="90"/>
    </row>
    <row r="12" spans="1:16" ht="15.75" thickBot="1" x14ac:dyDescent="0.3">
      <c r="A12" s="81"/>
      <c r="B12" s="82"/>
      <c r="C12" s="86" t="s">
        <v>49</v>
      </c>
      <c r="D12" s="87">
        <f>IFERROR(SUM(D4:D11), "N/a")</f>
        <v>0</v>
      </c>
      <c r="E12" s="9"/>
      <c r="F12" s="9"/>
      <c r="G12" s="90"/>
      <c r="I12" s="1" t="s">
        <v>75</v>
      </c>
      <c r="K12" s="4"/>
    </row>
    <row r="13" spans="1:16" ht="15.75" thickBot="1" x14ac:dyDescent="0.3">
      <c r="I13" s="8" t="s">
        <v>4</v>
      </c>
      <c r="J13" s="66"/>
      <c r="K13" s="89" t="s">
        <v>66</v>
      </c>
    </row>
    <row r="14" spans="1:16" ht="15.75" thickBot="1" x14ac:dyDescent="0.3">
      <c r="A14" s="110" t="s">
        <v>63</v>
      </c>
      <c r="B14" s="111"/>
      <c r="C14" s="111"/>
      <c r="D14" s="112"/>
      <c r="E14" s="2"/>
      <c r="F14" s="113" t="s">
        <v>65</v>
      </c>
      <c r="G14" s="114"/>
      <c r="I14" s="8" t="s">
        <v>76</v>
      </c>
      <c r="J14" s="66"/>
      <c r="K14" s="89" t="s">
        <v>66</v>
      </c>
    </row>
    <row r="15" spans="1:16" x14ac:dyDescent="0.25">
      <c r="A15" s="79" t="s">
        <v>46</v>
      </c>
      <c r="B15" s="85" t="s">
        <v>47</v>
      </c>
      <c r="C15" s="80" t="s">
        <v>48</v>
      </c>
      <c r="D15" s="80" t="s">
        <v>49</v>
      </c>
      <c r="F15" s="67">
        <v>1.5</v>
      </c>
      <c r="G15" s="89" t="s">
        <v>66</v>
      </c>
      <c r="I15" s="8" t="s">
        <v>77</v>
      </c>
      <c r="J15" s="66"/>
      <c r="K15" s="89" t="s">
        <v>66</v>
      </c>
    </row>
    <row r="16" spans="1:16" x14ac:dyDescent="0.25">
      <c r="A16" s="8" t="s">
        <v>50</v>
      </c>
      <c r="B16" s="83"/>
      <c r="C16" s="5" t="str">
        <f>IF($F$3=1.5,'DO NOT EDIT'!B45,IF($F$3=2,'DO NOT EDIT'!C45,IF($F$3=3,'DO NOT EDIT'!D45,IF($F$3=4,'DO NOT EDIT'!F45,IF($F$3=6,'DO NOT EDIT'!G45,IF($F$3=8,'DO NOT EDIT'!H45,"N/a"))))))</f>
        <v>N/a</v>
      </c>
      <c r="D16" s="5" t="str">
        <f>IFERROR(B16*C16, "0")</f>
        <v>0</v>
      </c>
      <c r="G16" s="4"/>
      <c r="I16" s="7"/>
      <c r="K16" s="4"/>
    </row>
    <row r="17" spans="1:11" x14ac:dyDescent="0.25">
      <c r="A17" s="8" t="s">
        <v>51</v>
      </c>
      <c r="B17" s="83"/>
      <c r="C17" s="5" t="str">
        <f>IF($F$3=1.5,'DO NOT EDIT'!B46,IF($F$3=2,'DO NOT EDIT'!C46,IF($F$3=3,'DO NOT EDIT'!D46,IF($F$3=4,'DO NOT EDIT'!F46,IF($F$3=6,'DO NOT EDIT'!G46,IF($F$3=8,'DO NOT EDIT'!H46,"N/a"))))))</f>
        <v>N/a</v>
      </c>
      <c r="D17" s="5" t="str">
        <f t="shared" ref="D17:D21" si="2">IFERROR(B17*C17, "0")</f>
        <v>0</v>
      </c>
      <c r="G17" s="4"/>
      <c r="I17" s="96" t="s">
        <v>78</v>
      </c>
      <c r="J17" s="30">
        <f>(J13*J14)/231</f>
        <v>0</v>
      </c>
      <c r="K17" s="4"/>
    </row>
    <row r="18" spans="1:11" x14ac:dyDescent="0.25">
      <c r="A18" s="8" t="s">
        <v>52</v>
      </c>
      <c r="B18" s="84"/>
      <c r="C18" s="5" t="str">
        <f>IF($F$3=1.5,'DO NOT EDIT'!B47,IF($F$3=2,'DO NOT EDIT'!C47,IF($F$3=3,'DO NOT EDIT'!D47,IF($F$3=4,'DO NOT EDIT'!F47,IF($F$3=6,'DO NOT EDIT'!G47,IF($F$3=8,'DO NOT EDIT'!H47,"N/a"))))))</f>
        <v>N/a</v>
      </c>
      <c r="D18" s="5" t="str">
        <f t="shared" si="2"/>
        <v>0</v>
      </c>
      <c r="G18" s="4"/>
      <c r="I18" s="96" t="s">
        <v>42</v>
      </c>
      <c r="J18" s="30">
        <f>J17*J15</f>
        <v>0</v>
      </c>
      <c r="K18" s="4"/>
    </row>
    <row r="19" spans="1:11" ht="15.75" thickBot="1" x14ac:dyDescent="0.3">
      <c r="A19" s="8" t="s">
        <v>53</v>
      </c>
      <c r="B19" s="83"/>
      <c r="C19" s="5" t="str">
        <f>IF($F$3=1.5,'DO NOT EDIT'!B48,IF($F$3=2,'DO NOT EDIT'!C48,IF($F$3=3,'DO NOT EDIT'!D48,IF($F$3=4,'DO NOT EDIT'!F48,IF($F$3=6,'DO NOT EDIT'!G48,IF($F$3=8,'DO NOT EDIT'!H48,"N/a"))))))</f>
        <v>N/a</v>
      </c>
      <c r="D19" s="5" t="str">
        <f t="shared" si="2"/>
        <v>0</v>
      </c>
      <c r="G19" s="4"/>
      <c r="I19" s="7"/>
      <c r="K19" s="4"/>
    </row>
    <row r="20" spans="1:11" x14ac:dyDescent="0.25">
      <c r="A20" s="8" t="s">
        <v>54</v>
      </c>
      <c r="B20" s="83"/>
      <c r="C20" s="5" t="str">
        <f>IF($F$3=1.5,'DO NOT EDIT'!B49,IF($F$3=2,'DO NOT EDIT'!C49,IF($F$3=3,'DO NOT EDIT'!D49,IF($F$3=4,'DO NOT EDIT'!F49,IF($F$3=6,'DO NOT EDIT'!G49,IF($F$3=8,'DO NOT EDIT'!H49,"N/a"))))))</f>
        <v>N/a</v>
      </c>
      <c r="D20" s="5" t="str">
        <f t="shared" si="2"/>
        <v>0</v>
      </c>
      <c r="G20" s="4"/>
      <c r="I20" s="1" t="s">
        <v>3</v>
      </c>
      <c r="K20" s="4"/>
    </row>
    <row r="21" spans="1:11" x14ac:dyDescent="0.25">
      <c r="A21" s="8" t="s">
        <v>55</v>
      </c>
      <c r="B21" s="83"/>
      <c r="C21" s="5" t="str">
        <f>IF($F$3=1.5,'DO NOT EDIT'!B50,IF($F$3=2,'DO NOT EDIT'!C50,IF($F$3=3,'DO NOT EDIT'!D50,IF($F$3=4,'DO NOT EDIT'!F50,IF($F$3=6,'DO NOT EDIT'!G50,IF($F$3=8,'DO NOT EDIT'!H50,"N/a"))))))</f>
        <v>N/a</v>
      </c>
      <c r="D21" s="5" t="str">
        <f t="shared" si="2"/>
        <v>0</v>
      </c>
      <c r="G21" s="4"/>
      <c r="I21" s="8" t="s">
        <v>79</v>
      </c>
      <c r="J21" s="16">
        <f>PI()</f>
        <v>3.1415926535897931</v>
      </c>
      <c r="K21" s="4"/>
    </row>
    <row r="22" spans="1:11" x14ac:dyDescent="0.25">
      <c r="A22" s="8" t="s">
        <v>56</v>
      </c>
      <c r="B22" s="83"/>
      <c r="C22" s="83"/>
      <c r="D22" s="5">
        <f t="shared" ref="D22:D23" si="3">B22*C22</f>
        <v>0</v>
      </c>
      <c r="G22" s="4"/>
      <c r="I22" s="8" t="s">
        <v>80</v>
      </c>
      <c r="J22" s="66"/>
      <c r="K22" s="89" t="s">
        <v>66</v>
      </c>
    </row>
    <row r="23" spans="1:11" x14ac:dyDescent="0.25">
      <c r="A23" s="8" t="s">
        <v>57</v>
      </c>
      <c r="B23" s="83"/>
      <c r="C23" s="5">
        <v>1</v>
      </c>
      <c r="D23" s="5">
        <f t="shared" si="3"/>
        <v>0</v>
      </c>
      <c r="G23" s="4"/>
      <c r="I23" s="8" t="s">
        <v>77</v>
      </c>
      <c r="J23" s="66"/>
      <c r="K23" s="89" t="s">
        <v>66</v>
      </c>
    </row>
    <row r="24" spans="1:11" ht="15.75" thickBot="1" x14ac:dyDescent="0.3">
      <c r="A24" s="81"/>
      <c r="B24" s="82"/>
      <c r="C24" s="86" t="s">
        <v>49</v>
      </c>
      <c r="D24" s="87">
        <f>IFERROR(SUM(D16:D23), "N/a")</f>
        <v>0</v>
      </c>
      <c r="E24" s="9"/>
      <c r="F24" s="9"/>
      <c r="G24" s="90"/>
      <c r="I24" s="7"/>
      <c r="K24" s="4"/>
    </row>
    <row r="25" spans="1:11" x14ac:dyDescent="0.25">
      <c r="I25" s="96" t="s">
        <v>78</v>
      </c>
      <c r="J25" s="30">
        <f>(J21*(J22*J22))/231</f>
        <v>0</v>
      </c>
      <c r="K25" s="4"/>
    </row>
    <row r="26" spans="1:11" ht="15.75" thickBot="1" x14ac:dyDescent="0.3">
      <c r="A26" s="108" t="s">
        <v>67</v>
      </c>
      <c r="B26" s="109"/>
      <c r="C26" s="29">
        <f>SUM(D24,D12)</f>
        <v>0</v>
      </c>
      <c r="I26" s="97" t="s">
        <v>42</v>
      </c>
      <c r="J26" s="98">
        <f>J25*J23</f>
        <v>0</v>
      </c>
      <c r="K26" s="90"/>
    </row>
  </sheetData>
  <mergeCells count="8">
    <mergeCell ref="A26:B26"/>
    <mergeCell ref="I2:L2"/>
    <mergeCell ref="I10:K10"/>
    <mergeCell ref="N2:P2"/>
    <mergeCell ref="A2:D2"/>
    <mergeCell ref="F2:G2"/>
    <mergeCell ref="A14:D14"/>
    <mergeCell ref="F14:G1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84D19E4-1550-4A7D-834A-31DF589B355B}">
          <x14:formula1>
            <xm:f>'DO NOT EDIT'!$C$2:$C$8</xm:f>
          </x14:formula1>
          <xm:sqref>F3 F15</xm:sqref>
        </x14:dataValidation>
        <x14:dataValidation type="list" allowBlank="1" showInputMessage="1" showErrorMessage="1" xr:uid="{BDC1D896-9726-42AC-B048-06E9633107CD}">
          <x14:formula1>
            <xm:f>'DO NOT EDIT'!$E$2:$E$6</xm:f>
          </x14:formula1>
          <xm:sqref>K4:K6</xm:sqref>
        </x14:dataValidation>
        <x14:dataValidation type="list" allowBlank="1" showInputMessage="1" showErrorMessage="1" xr:uid="{6CAFF30D-DED4-46C3-AED7-C33C0548DC97}">
          <x14:formula1>
            <xm:f>'DO NOT EDIT'!$G$2:$G$8</xm:f>
          </x14:formula1>
          <xm:sqref>O5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C96BE-4E65-4F99-A4F7-27C61A09626D}">
  <dimension ref="A1:M65"/>
  <sheetViews>
    <sheetView workbookViewId="0">
      <selection activeCell="H9" sqref="H9"/>
    </sheetView>
  </sheetViews>
  <sheetFormatPr defaultRowHeight="15" x14ac:dyDescent="0.25"/>
  <cols>
    <col min="1" max="1" width="12.85546875" bestFit="1" customWidth="1"/>
    <col min="3" max="3" width="13.140625" bestFit="1" customWidth="1"/>
    <col min="5" max="5" width="16.28515625" bestFit="1" customWidth="1"/>
    <col min="7" max="7" width="19" bestFit="1" customWidth="1"/>
    <col min="8" max="8" width="11" bestFit="1" customWidth="1"/>
  </cols>
  <sheetData>
    <row r="1" spans="1:7" ht="15.75" thickBot="1" x14ac:dyDescent="0.3">
      <c r="A1" s="59" t="s">
        <v>34</v>
      </c>
      <c r="C1" s="58" t="s">
        <v>64</v>
      </c>
      <c r="E1" s="58" t="s">
        <v>73</v>
      </c>
      <c r="G1" s="58" t="s">
        <v>88</v>
      </c>
    </row>
    <row r="2" spans="1:7" x14ac:dyDescent="0.25">
      <c r="A2" s="56">
        <v>10</v>
      </c>
      <c r="C2" s="56">
        <v>1.5</v>
      </c>
      <c r="E2" s="56">
        <v>1.5</v>
      </c>
      <c r="G2" s="56">
        <v>1</v>
      </c>
    </row>
    <row r="3" spans="1:7" x14ac:dyDescent="0.25">
      <c r="A3" s="56">
        <v>30</v>
      </c>
      <c r="C3" s="56">
        <v>2</v>
      </c>
      <c r="E3" s="56">
        <v>2</v>
      </c>
      <c r="G3" s="56">
        <v>1.5</v>
      </c>
    </row>
    <row r="4" spans="1:7" x14ac:dyDescent="0.25">
      <c r="A4" s="57"/>
      <c r="C4" s="56">
        <v>3</v>
      </c>
      <c r="E4" s="56">
        <v>3</v>
      </c>
      <c r="G4" s="56">
        <v>2</v>
      </c>
    </row>
    <row r="5" spans="1:7" x14ac:dyDescent="0.25">
      <c r="C5" s="56">
        <v>4</v>
      </c>
      <c r="E5" s="56">
        <v>4</v>
      </c>
      <c r="G5" s="56">
        <v>3</v>
      </c>
    </row>
    <row r="6" spans="1:7" x14ac:dyDescent="0.25">
      <c r="C6" s="56">
        <v>6</v>
      </c>
      <c r="E6" s="57"/>
      <c r="G6" s="56">
        <v>4</v>
      </c>
    </row>
    <row r="7" spans="1:7" x14ac:dyDescent="0.25">
      <c r="C7" s="56">
        <v>8</v>
      </c>
      <c r="G7" s="56">
        <v>6</v>
      </c>
    </row>
    <row r="8" spans="1:7" x14ac:dyDescent="0.25">
      <c r="C8" s="57"/>
      <c r="G8" s="57"/>
    </row>
    <row r="9" spans="1:7" ht="15.75" thickBot="1" x14ac:dyDescent="0.3"/>
    <row r="10" spans="1:7" ht="15.75" thickBot="1" x14ac:dyDescent="0.3">
      <c r="A10" s="116" t="s">
        <v>5</v>
      </c>
      <c r="B10" s="117"/>
      <c r="C10" s="117"/>
      <c r="D10" s="117"/>
      <c r="E10" s="118"/>
    </row>
    <row r="11" spans="1:7" x14ac:dyDescent="0.25">
      <c r="A11" s="10" t="s">
        <v>6</v>
      </c>
      <c r="B11" s="11" t="s">
        <v>7</v>
      </c>
      <c r="C11" s="119"/>
      <c r="D11" s="120"/>
      <c r="E11" s="45" t="s">
        <v>8</v>
      </c>
    </row>
    <row r="12" spans="1:7" x14ac:dyDescent="0.25">
      <c r="A12" s="12" t="s">
        <v>9</v>
      </c>
      <c r="B12" s="13" t="str">
        <f>IF(AND('Perc - Minimum Sizing'!B2&gt;=0, 'Perc - Minimum Sizing'!B2&lt;=500),'Perc - Minimum Sizing'!B2, "N/a")</f>
        <v>N/a</v>
      </c>
      <c r="C12" s="115" t="str">
        <f>IFERROR((3.5*(B12-400)+900), "N/a")</f>
        <v>N/a</v>
      </c>
      <c r="D12" s="115"/>
      <c r="E12" s="53" t="str">
        <f>IF(C12=-500, "0", C12)</f>
        <v>N/a</v>
      </c>
    </row>
    <row r="13" spans="1:7" x14ac:dyDescent="0.25">
      <c r="A13" s="12" t="s">
        <v>10</v>
      </c>
      <c r="B13" s="13" t="str">
        <f>IF(AND('Perc - Minimum Sizing'!B2&gt;=501, 'Perc - Minimum Sizing'!B2&lt;=5000),'Perc - Minimum Sizing'!B2, "N/a")</f>
        <v>N/a</v>
      </c>
      <c r="C13" s="115" t="str">
        <f>IFERROR((1.5*(B13-500)+1250), "N/a")</f>
        <v>N/a</v>
      </c>
      <c r="D13" s="115"/>
      <c r="E13" s="53" t="str">
        <f>IF(C13=500, "0", C13)</f>
        <v>N/a</v>
      </c>
    </row>
    <row r="14" spans="1:7" x14ac:dyDescent="0.25">
      <c r="A14" s="12" t="s">
        <v>11</v>
      </c>
      <c r="B14" s="13" t="str">
        <f>IF(AND('Perc - Minimum Sizing'!B2&gt;=5001, 'Perc - Minimum Sizing'!B2&lt;=7500),'Perc - Minimum Sizing'!B2, "N/a")</f>
        <v>N/a</v>
      </c>
      <c r="C14" s="115" t="str">
        <f>IFERROR((1.45*(B14-5000)+8000), "N/a")</f>
        <v>N/a</v>
      </c>
      <c r="D14" s="115"/>
      <c r="E14" s="53" t="str">
        <f>IF(C14=750, "0", C14)</f>
        <v>N/a</v>
      </c>
    </row>
    <row r="15" spans="1:7" x14ac:dyDescent="0.25">
      <c r="A15" s="12" t="s">
        <v>12</v>
      </c>
      <c r="B15" s="13" t="str">
        <f>IF(AND('Perc - Minimum Sizing'!B2&gt;=7501, 'Perc - Minimum Sizing'!B2&lt;=100000),'Perc - Minimum Sizing'!B2, "N/a")</f>
        <v>N/a</v>
      </c>
      <c r="C15" s="115" t="str">
        <f>IFERROR((1.35*(B15-7500)+11625), "N/a")</f>
        <v>N/a</v>
      </c>
      <c r="D15" s="115"/>
      <c r="E15" s="53" t="str">
        <f>IF(C15=1500, "0", C15)</f>
        <v>N/a</v>
      </c>
    </row>
    <row r="16" spans="1:7" x14ac:dyDescent="0.25">
      <c r="A16" s="12" t="s">
        <v>13</v>
      </c>
      <c r="B16" s="13" t="str">
        <f>IF(AND('Perc - Minimum Sizing'!B2&gt;=10001), 'Perc - Minimum Sizing'!B2, "N/a")</f>
        <v>-</v>
      </c>
      <c r="C16" s="115" t="str">
        <f>IFERROR(1.5*B16, "N/a")</f>
        <v>N/a</v>
      </c>
      <c r="D16" s="115"/>
      <c r="E16" s="54" t="str">
        <f>IF(C16=0, "0", C16)</f>
        <v>N/a</v>
      </c>
    </row>
    <row r="17" spans="1:13" ht="15.75" thickBot="1" x14ac:dyDescent="0.3">
      <c r="A17" s="14"/>
      <c r="B17" s="15"/>
      <c r="C17" s="15"/>
      <c r="D17" s="15"/>
      <c r="E17" s="55">
        <f>SUM(E12:E16)</f>
        <v>0</v>
      </c>
    </row>
    <row r="18" spans="1:13" ht="15.75" thickBot="1" x14ac:dyDescent="0.3"/>
    <row r="19" spans="1:13" ht="15.75" thickBot="1" x14ac:dyDescent="0.3">
      <c r="A19" s="116" t="s">
        <v>40</v>
      </c>
      <c r="B19" s="117"/>
      <c r="C19" s="117"/>
      <c r="D19" s="118"/>
      <c r="E19" s="68"/>
      <c r="F19" s="116" t="s">
        <v>41</v>
      </c>
      <c r="G19" s="117"/>
      <c r="H19" s="117"/>
      <c r="I19" s="117"/>
      <c r="J19" s="118"/>
    </row>
    <row r="20" spans="1:13" x14ac:dyDescent="0.25">
      <c r="A20" s="32" t="s">
        <v>0</v>
      </c>
      <c r="B20" s="33" t="s">
        <v>21</v>
      </c>
      <c r="C20" s="60" t="s">
        <v>22</v>
      </c>
      <c r="D20" s="61" t="s">
        <v>23</v>
      </c>
      <c r="E20" s="68"/>
      <c r="F20" s="35" t="s">
        <v>21</v>
      </c>
      <c r="G20" s="33" t="s">
        <v>0</v>
      </c>
      <c r="H20" s="43" t="s">
        <v>22</v>
      </c>
      <c r="I20" s="34" t="s">
        <v>1</v>
      </c>
      <c r="J20" s="44" t="s">
        <v>23</v>
      </c>
    </row>
    <row r="21" spans="1:13" x14ac:dyDescent="0.25">
      <c r="A21" s="20" t="str">
        <f>'Perc - Minimum Sizing'!B25</f>
        <v>-</v>
      </c>
      <c r="B21" s="21" t="s">
        <v>24</v>
      </c>
      <c r="C21" s="51" t="str">
        <f>IF(AND(A21&gt;=3, A21&lt;=5), H21, "N/a")</f>
        <v>N/a</v>
      </c>
      <c r="D21" s="49" t="str">
        <f>IF(AND(A21&gt;=3, A21&lt;=5),J21, "N/a")</f>
        <v>N/a</v>
      </c>
      <c r="E21" s="68"/>
      <c r="F21" s="36" t="s">
        <v>24</v>
      </c>
      <c r="G21" s="22" t="str">
        <f>$A$21</f>
        <v>-</v>
      </c>
      <c r="H21" s="46" t="s">
        <v>25</v>
      </c>
      <c r="I21" s="23" t="str">
        <f>'Perc - Minimum Sizing'!B2</f>
        <v>-</v>
      </c>
      <c r="J21" s="49" t="e">
        <f>1.5*I21</f>
        <v>#VALUE!</v>
      </c>
    </row>
    <row r="22" spans="1:13" x14ac:dyDescent="0.25">
      <c r="A22" s="27"/>
      <c r="B22" s="24" t="s">
        <v>26</v>
      </c>
      <c r="C22" s="51" t="str">
        <f>IF(AND(A21&gt;=5.0000001, A21&lt;=15), H22, "N/a")</f>
        <v>N/a</v>
      </c>
      <c r="D22" s="49" t="str">
        <f>IF(AND(A21&gt;=5.000001, A21&lt;=15),J22, "N/a")</f>
        <v>N/a</v>
      </c>
      <c r="E22" s="68"/>
      <c r="F22" s="37" t="s">
        <v>26</v>
      </c>
      <c r="G22" s="22" t="str">
        <f t="shared" ref="G22:G29" si="0">$A$21</f>
        <v>-</v>
      </c>
      <c r="H22" s="47" t="e">
        <f>1.19*I21</f>
        <v>#VALUE!</v>
      </c>
      <c r="I22" s="40"/>
      <c r="J22" s="49" t="e">
        <f>1.5*I21</f>
        <v>#VALUE!</v>
      </c>
    </row>
    <row r="23" spans="1:13" x14ac:dyDescent="0.25">
      <c r="A23" s="28"/>
      <c r="B23" s="21" t="s">
        <v>27</v>
      </c>
      <c r="C23" s="51" t="str">
        <f>IF(AND(A21&gt;=15.000001, A21&lt;=30), H23, "N/a")</f>
        <v>N/a</v>
      </c>
      <c r="D23" s="49" t="str">
        <f>IF(AND(A21&gt;=15.00000001, A21&lt;=30),J23, "N/a")</f>
        <v>N/a</v>
      </c>
      <c r="E23" s="68"/>
      <c r="F23" s="36" t="s">
        <v>27</v>
      </c>
      <c r="G23" s="22" t="str">
        <f t="shared" si="0"/>
        <v>-</v>
      </c>
      <c r="H23" s="47" t="e">
        <f>(((G23-15)*0.04)+1.19)*I21</f>
        <v>#VALUE!</v>
      </c>
      <c r="I23" s="41"/>
      <c r="J23" s="49" t="e">
        <f>1.5*I21</f>
        <v>#VALUE!</v>
      </c>
    </row>
    <row r="24" spans="1:13" x14ac:dyDescent="0.25">
      <c r="A24" s="27"/>
      <c r="B24" s="21" t="s">
        <v>28</v>
      </c>
      <c r="C24" s="51" t="str">
        <f>IF(AND(A21&gt;=30.0000001, A21&lt;=45), H24, "N/a")</f>
        <v>N/a</v>
      </c>
      <c r="D24" s="49" t="str">
        <f>IF(AND(A21&gt;=30.00001, A21&lt;=45),J24, "N/a")</f>
        <v>N/a</v>
      </c>
      <c r="E24" s="68"/>
      <c r="F24" s="36" t="s">
        <v>28</v>
      </c>
      <c r="G24" s="22" t="str">
        <f t="shared" si="0"/>
        <v>-</v>
      </c>
      <c r="H24" s="47" t="e">
        <f>(((G24-30)*0.03)+1.79)*I21</f>
        <v>#VALUE!</v>
      </c>
      <c r="I24" s="41"/>
      <c r="J24" s="49" t="e">
        <f>(((G24-30)*0.026)+1.5)*I21</f>
        <v>#VALUE!</v>
      </c>
    </row>
    <row r="25" spans="1:13" x14ac:dyDescent="0.25">
      <c r="A25" s="28"/>
      <c r="B25" s="21" t="s">
        <v>29</v>
      </c>
      <c r="C25" s="51" t="str">
        <f>IF(AND(A21&gt;=45.0000001, A21&lt;=60), H25, "N/a")</f>
        <v>N/a</v>
      </c>
      <c r="D25" s="49" t="str">
        <f>IF(AND(A21&gt;=45.000001, A21&lt;=60), J25, "N/a")</f>
        <v>N/a</v>
      </c>
      <c r="E25" s="68"/>
      <c r="F25" s="36" t="s">
        <v>29</v>
      </c>
      <c r="G25" s="22" t="str">
        <f t="shared" si="0"/>
        <v>-</v>
      </c>
      <c r="H25" s="47" t="e">
        <f>(((G25-45)*0.028)+2.24)*I21</f>
        <v>#VALUE!</v>
      </c>
      <c r="I25" s="41"/>
      <c r="J25" s="49" t="e">
        <f>(((G25-45)*0.022)+1.89)*I21</f>
        <v>#VALUE!</v>
      </c>
    </row>
    <row r="26" spans="1:13" x14ac:dyDescent="0.25">
      <c r="A26" s="27"/>
      <c r="B26" s="13" t="s">
        <v>30</v>
      </c>
      <c r="C26" s="51" t="str">
        <f>IF(AND(A21&gt;=60.000001, A21&lt;=90),H26, "N/a")</f>
        <v>N/a</v>
      </c>
      <c r="D26" s="49" t="str">
        <f>IF(AND(A21&gt;=60.00001,A21&lt;=90),J26,"N/a")</f>
        <v>N/a</v>
      </c>
      <c r="E26" s="68"/>
      <c r="F26" s="38" t="s">
        <v>30</v>
      </c>
      <c r="G26" s="22" t="str">
        <f t="shared" si="0"/>
        <v>-</v>
      </c>
      <c r="H26" s="47" t="e">
        <f>(((G26-60)*0.023)+2.66)*I21</f>
        <v>#VALUE!</v>
      </c>
      <c r="I26" s="41"/>
      <c r="J26" s="49" t="e">
        <f>(((G26-60)*0.02)+2.22)*I21</f>
        <v>#VALUE!</v>
      </c>
    </row>
    <row r="27" spans="1:13" x14ac:dyDescent="0.25">
      <c r="A27" s="27"/>
      <c r="B27" s="21" t="s">
        <v>31</v>
      </c>
      <c r="C27" s="51" t="str">
        <f>IF(AND(A21&gt;=90.000001, A21&lt;=120), H27, "N/a")</f>
        <v>N/a</v>
      </c>
      <c r="D27" s="49" t="str">
        <f>IF(AND(A21&gt;=90.000001, A21&lt;=120), J27, "N/a")</f>
        <v>N/a</v>
      </c>
      <c r="E27" s="68"/>
      <c r="F27" s="36" t="s">
        <v>31</v>
      </c>
      <c r="G27" s="22" t="str">
        <f t="shared" si="0"/>
        <v>-</v>
      </c>
      <c r="H27" s="46" t="s">
        <v>25</v>
      </c>
      <c r="I27" s="41"/>
      <c r="J27" s="49" t="e">
        <f>(((G27-90)*0.017)+2.82)*I21</f>
        <v>#VALUE!</v>
      </c>
    </row>
    <row r="28" spans="1:13" x14ac:dyDescent="0.25">
      <c r="A28" s="27"/>
      <c r="B28" s="21" t="s">
        <v>32</v>
      </c>
      <c r="C28" s="51" t="str">
        <f>IF(AND(A21&gt;=120.0000001, A21&lt;=150), H28, "N/a")</f>
        <v>N/a</v>
      </c>
      <c r="D28" s="49" t="str">
        <f>IF(AND(A21&gt;=120.00000001, A21&lt;=150), J28, "N/a")</f>
        <v>N/a</v>
      </c>
      <c r="E28" s="68"/>
      <c r="F28" s="36" t="s">
        <v>32</v>
      </c>
      <c r="G28" s="22" t="str">
        <f t="shared" si="0"/>
        <v>-</v>
      </c>
      <c r="H28" s="46" t="s">
        <v>25</v>
      </c>
      <c r="I28" s="41"/>
      <c r="J28" s="49" t="e">
        <f>((((G28-120)*0.015)+3.33))*1.05*I21</f>
        <v>#VALUE!</v>
      </c>
    </row>
    <row r="29" spans="1:13" ht="15.75" thickBot="1" x14ac:dyDescent="0.3">
      <c r="A29" s="14"/>
      <c r="B29" s="25" t="s">
        <v>33</v>
      </c>
      <c r="C29" s="52" t="str">
        <f>IF(AND(A21&gt;=150.0000001, A21&lt;=180),H29, "N/a")</f>
        <v>N/a</v>
      </c>
      <c r="D29" s="50" t="str">
        <f>IF(AND(A21&gt;=150.0000001, A21&lt;=180),J29, "N/a")</f>
        <v>N/a</v>
      </c>
      <c r="E29" s="68"/>
      <c r="F29" s="39" t="s">
        <v>33</v>
      </c>
      <c r="G29" s="26" t="str">
        <f t="shared" si="0"/>
        <v>-</v>
      </c>
      <c r="H29" s="48" t="s">
        <v>25</v>
      </c>
      <c r="I29" s="42"/>
      <c r="J29" s="50" t="e">
        <f>((((G29-150)*0.014)+3.78))*1.1*I21</f>
        <v>#VALUE!</v>
      </c>
    </row>
    <row r="30" spans="1:13" ht="15.75" thickBot="1" x14ac:dyDescent="0.3"/>
    <row r="31" spans="1:13" ht="15.75" thickBot="1" x14ac:dyDescent="0.3">
      <c r="A31" s="116" t="s">
        <v>62</v>
      </c>
      <c r="B31" s="117"/>
      <c r="C31" s="117"/>
      <c r="D31" s="117"/>
      <c r="E31" s="117"/>
      <c r="F31" s="117"/>
      <c r="G31" s="118"/>
      <c r="H31" s="71"/>
      <c r="I31" s="116" t="s">
        <v>74</v>
      </c>
      <c r="J31" s="118"/>
      <c r="L31" s="116" t="s">
        <v>69</v>
      </c>
      <c r="M31" s="118"/>
    </row>
    <row r="32" spans="1:13" x14ac:dyDescent="0.25">
      <c r="A32" s="72" t="s">
        <v>46</v>
      </c>
      <c r="B32" s="73" t="s">
        <v>44</v>
      </c>
      <c r="C32" s="73" t="s">
        <v>45</v>
      </c>
      <c r="D32" s="73" t="s">
        <v>58</v>
      </c>
      <c r="E32" s="73" t="s">
        <v>59</v>
      </c>
      <c r="F32" s="73" t="s">
        <v>60</v>
      </c>
      <c r="G32" s="74" t="s">
        <v>61</v>
      </c>
      <c r="H32" s="70"/>
      <c r="I32" s="13">
        <v>1</v>
      </c>
      <c r="J32" s="13">
        <v>1.0489999999999999</v>
      </c>
      <c r="L32" s="13">
        <v>1.5</v>
      </c>
      <c r="M32" s="13">
        <v>0.09</v>
      </c>
    </row>
    <row r="33" spans="1:13" x14ac:dyDescent="0.25">
      <c r="A33" s="69" t="s">
        <v>50</v>
      </c>
      <c r="B33" s="13">
        <v>4.7300000000000004</v>
      </c>
      <c r="C33" s="13">
        <v>5.55</v>
      </c>
      <c r="D33" s="13">
        <v>8.23</v>
      </c>
      <c r="E33" s="13">
        <v>10.8</v>
      </c>
      <c r="F33" s="13">
        <v>16.2</v>
      </c>
      <c r="G33" s="75">
        <v>22.4</v>
      </c>
      <c r="H33" s="70"/>
      <c r="I33" s="13">
        <v>1.5</v>
      </c>
      <c r="J33" s="13">
        <v>1.61</v>
      </c>
      <c r="L33" s="13">
        <v>2</v>
      </c>
      <c r="M33" s="13">
        <v>0.16</v>
      </c>
    </row>
    <row r="34" spans="1:13" x14ac:dyDescent="0.25">
      <c r="A34" s="69" t="s">
        <v>51</v>
      </c>
      <c r="B34" s="13">
        <v>2.0099999999999998</v>
      </c>
      <c r="C34" s="13">
        <v>2.58</v>
      </c>
      <c r="D34" s="13">
        <v>3.84</v>
      </c>
      <c r="E34" s="13">
        <v>5.03</v>
      </c>
      <c r="F34" s="13">
        <v>7.58</v>
      </c>
      <c r="G34" s="75">
        <v>9.98</v>
      </c>
      <c r="H34" s="70"/>
      <c r="I34" s="13">
        <v>2</v>
      </c>
      <c r="J34" s="13">
        <v>2.0670000000000002</v>
      </c>
      <c r="L34" s="13">
        <v>3</v>
      </c>
      <c r="M34" s="13">
        <v>0.37</v>
      </c>
    </row>
    <row r="35" spans="1:13" x14ac:dyDescent="0.25">
      <c r="A35" s="69" t="s">
        <v>52</v>
      </c>
      <c r="B35" s="13">
        <v>8.6199999999999992</v>
      </c>
      <c r="C35" s="13">
        <v>11.1</v>
      </c>
      <c r="D35" s="13">
        <v>16.5</v>
      </c>
      <c r="E35" s="13">
        <v>21.6</v>
      </c>
      <c r="F35" s="13">
        <v>32.4</v>
      </c>
      <c r="G35" s="75">
        <v>44.8</v>
      </c>
      <c r="H35" s="70"/>
      <c r="I35" s="13">
        <v>3</v>
      </c>
      <c r="J35" s="13">
        <v>3.0680000000000001</v>
      </c>
      <c r="L35" s="13">
        <v>4</v>
      </c>
      <c r="M35" s="13">
        <v>0.66</v>
      </c>
    </row>
    <row r="36" spans="1:13" x14ac:dyDescent="0.25">
      <c r="A36" s="69" t="s">
        <v>53</v>
      </c>
      <c r="B36" s="13">
        <v>1.05</v>
      </c>
      <c r="C36" s="13">
        <v>1.35</v>
      </c>
      <c r="D36" s="13">
        <v>2.0099999999999998</v>
      </c>
      <c r="E36" s="13">
        <v>2.64</v>
      </c>
      <c r="F36" s="13">
        <v>3.98</v>
      </c>
      <c r="G36" s="75">
        <v>5.23</v>
      </c>
      <c r="H36" s="70"/>
      <c r="I36" s="13">
        <v>4</v>
      </c>
      <c r="J36" s="13">
        <v>4.0259999999999998</v>
      </c>
    </row>
    <row r="37" spans="1:13" x14ac:dyDescent="0.25">
      <c r="A37" s="69" t="s">
        <v>54</v>
      </c>
      <c r="B37" s="13">
        <v>1.05</v>
      </c>
      <c r="C37" s="13">
        <v>1.35</v>
      </c>
      <c r="D37" s="13">
        <v>2.0099999999999998</v>
      </c>
      <c r="E37" s="13">
        <v>2.64</v>
      </c>
      <c r="F37" s="13">
        <v>3.98</v>
      </c>
      <c r="G37" s="75">
        <v>5.23</v>
      </c>
      <c r="H37" s="70"/>
      <c r="I37" s="13">
        <v>6</v>
      </c>
      <c r="J37" s="13">
        <v>6.0650000000000004</v>
      </c>
    </row>
    <row r="38" spans="1:13" x14ac:dyDescent="0.25">
      <c r="A38" s="69" t="s">
        <v>55</v>
      </c>
      <c r="B38" s="13">
        <v>12</v>
      </c>
      <c r="C38" s="13">
        <v>15.4</v>
      </c>
      <c r="D38" s="13">
        <v>22.9</v>
      </c>
      <c r="E38" s="13">
        <v>30</v>
      </c>
      <c r="F38" s="13">
        <v>45.2</v>
      </c>
      <c r="G38" s="75">
        <v>59.5</v>
      </c>
      <c r="H38" s="70"/>
    </row>
    <row r="39" spans="1:13" x14ac:dyDescent="0.25">
      <c r="A39" s="69" t="s">
        <v>56</v>
      </c>
      <c r="B39" s="13"/>
      <c r="C39" s="13"/>
      <c r="D39" s="13"/>
      <c r="E39" s="13"/>
      <c r="F39" s="13"/>
      <c r="G39" s="75"/>
      <c r="H39" s="70"/>
    </row>
    <row r="40" spans="1:13" ht="15.75" thickBot="1" x14ac:dyDescent="0.3">
      <c r="A40" s="76" t="s">
        <v>57</v>
      </c>
      <c r="B40" s="77">
        <v>1</v>
      </c>
      <c r="C40" s="77">
        <v>1</v>
      </c>
      <c r="D40" s="77">
        <v>1</v>
      </c>
      <c r="E40" s="77">
        <v>1</v>
      </c>
      <c r="F40" s="77">
        <v>1</v>
      </c>
      <c r="G40" s="78">
        <v>1</v>
      </c>
      <c r="H40" s="70"/>
    </row>
    <row r="41" spans="1:13" x14ac:dyDescent="0.25">
      <c r="A41" s="27"/>
      <c r="B41" s="70"/>
      <c r="C41" s="70"/>
      <c r="D41" s="70"/>
      <c r="E41" s="71"/>
      <c r="F41" s="71"/>
      <c r="G41" s="70"/>
      <c r="H41" s="70"/>
    </row>
    <row r="42" spans="1:13" x14ac:dyDescent="0.25">
      <c r="A42" s="71"/>
      <c r="B42" s="71"/>
      <c r="C42" s="71"/>
      <c r="D42" s="71"/>
      <c r="E42" s="71"/>
      <c r="F42" s="71"/>
      <c r="G42" s="71"/>
      <c r="H42" s="71"/>
      <c r="I42" s="71"/>
    </row>
    <row r="43" spans="1:13" x14ac:dyDescent="0.25">
      <c r="A43" s="71"/>
      <c r="B43" s="71"/>
      <c r="C43" s="71"/>
      <c r="D43" s="71"/>
      <c r="E43" s="71"/>
      <c r="F43" s="71"/>
      <c r="G43" s="71"/>
      <c r="H43" s="71"/>
      <c r="I43" s="71"/>
    </row>
    <row r="44" spans="1:13" x14ac:dyDescent="0.25">
      <c r="A44" s="71"/>
      <c r="B44" s="71"/>
      <c r="C44" s="71"/>
      <c r="D44" s="71"/>
      <c r="E44" s="71"/>
      <c r="F44" s="71"/>
      <c r="G44" s="71"/>
      <c r="H44" s="71"/>
      <c r="I44" s="71"/>
    </row>
    <row r="45" spans="1:13" x14ac:dyDescent="0.25">
      <c r="A45" s="71"/>
      <c r="B45" s="71"/>
      <c r="C45" s="71"/>
      <c r="D45" s="71"/>
      <c r="E45" s="71"/>
      <c r="F45" s="71"/>
      <c r="G45" s="71"/>
      <c r="H45" s="71"/>
      <c r="I45" s="71"/>
    </row>
    <row r="46" spans="1:13" x14ac:dyDescent="0.25">
      <c r="A46" s="71"/>
      <c r="B46" s="71"/>
      <c r="C46" s="71"/>
      <c r="D46" s="71"/>
      <c r="E46" s="71"/>
      <c r="F46" s="71"/>
      <c r="G46" s="71"/>
      <c r="H46" s="71"/>
      <c r="I46" s="71"/>
    </row>
    <row r="47" spans="1:13" x14ac:dyDescent="0.25">
      <c r="A47" s="71"/>
      <c r="B47" s="71"/>
      <c r="C47" s="71"/>
      <c r="D47" s="71"/>
      <c r="E47" s="71"/>
      <c r="F47" s="71"/>
      <c r="G47" s="71"/>
      <c r="H47" s="71"/>
      <c r="I47" s="71"/>
    </row>
    <row r="48" spans="1:13" x14ac:dyDescent="0.25">
      <c r="A48" s="71"/>
      <c r="B48" s="71"/>
      <c r="C48" s="71"/>
      <c r="D48" s="71"/>
      <c r="E48" s="71"/>
      <c r="F48" s="71"/>
      <c r="G48" s="71"/>
      <c r="H48" s="71"/>
      <c r="I48" s="71"/>
    </row>
    <row r="49" spans="1:9" x14ac:dyDescent="0.25">
      <c r="A49" s="71"/>
      <c r="B49" s="71"/>
      <c r="C49" s="71"/>
      <c r="D49" s="71"/>
      <c r="E49" s="71"/>
      <c r="F49" s="71"/>
      <c r="G49" s="71"/>
      <c r="H49" s="71"/>
      <c r="I49" s="71"/>
    </row>
    <row r="50" spans="1:9" x14ac:dyDescent="0.25">
      <c r="A50" s="71"/>
      <c r="B50" s="71"/>
      <c r="C50" s="71"/>
      <c r="D50" s="71"/>
      <c r="E50" s="71"/>
      <c r="F50" s="71"/>
      <c r="G50" s="71"/>
      <c r="H50" s="71"/>
      <c r="I50" s="71"/>
    </row>
    <row r="51" spans="1:9" x14ac:dyDescent="0.25">
      <c r="A51" s="71"/>
      <c r="B51" s="71"/>
      <c r="C51" s="71"/>
      <c r="D51" s="71"/>
      <c r="E51" s="71"/>
      <c r="F51" s="71"/>
      <c r="G51" s="71"/>
      <c r="H51" s="71"/>
      <c r="I51" s="71"/>
    </row>
    <row r="52" spans="1:9" x14ac:dyDescent="0.25">
      <c r="A52" s="71"/>
      <c r="B52" s="71"/>
      <c r="C52" s="71"/>
      <c r="D52" s="71"/>
      <c r="E52" s="71"/>
      <c r="F52" s="71"/>
      <c r="G52" s="71"/>
      <c r="H52" s="71"/>
      <c r="I52" s="71"/>
    </row>
    <row r="53" spans="1:9" x14ac:dyDescent="0.25">
      <c r="A53" s="71"/>
      <c r="B53" s="71"/>
      <c r="C53" s="71"/>
      <c r="D53" s="71"/>
      <c r="E53" s="71"/>
      <c r="F53" s="71"/>
      <c r="G53" s="71"/>
      <c r="H53" s="71"/>
      <c r="I53" s="71"/>
    </row>
    <row r="54" spans="1:9" x14ac:dyDescent="0.25">
      <c r="A54" s="71"/>
      <c r="B54" s="71"/>
      <c r="C54" s="71"/>
      <c r="D54" s="71"/>
      <c r="E54" s="71"/>
      <c r="F54" s="71"/>
      <c r="G54" s="71"/>
      <c r="H54" s="71"/>
      <c r="I54" s="71"/>
    </row>
    <row r="55" spans="1:9" x14ac:dyDescent="0.25">
      <c r="A55" s="71"/>
      <c r="B55" s="71"/>
      <c r="C55" s="71"/>
      <c r="D55" s="71"/>
      <c r="E55" s="71"/>
      <c r="F55" s="71"/>
      <c r="G55" s="71"/>
      <c r="H55" s="71"/>
      <c r="I55" s="71"/>
    </row>
    <row r="56" spans="1:9" x14ac:dyDescent="0.25">
      <c r="A56" s="71"/>
      <c r="B56" s="71"/>
      <c r="C56" s="71"/>
      <c r="D56" s="71"/>
      <c r="E56" s="71"/>
      <c r="F56" s="71"/>
      <c r="G56" s="71"/>
      <c r="H56" s="71"/>
      <c r="I56" s="71"/>
    </row>
    <row r="57" spans="1:9" x14ac:dyDescent="0.25">
      <c r="A57" s="71"/>
      <c r="B57" s="71"/>
      <c r="C57" s="71"/>
      <c r="D57" s="71"/>
      <c r="E57" s="71"/>
      <c r="F57" s="71"/>
      <c r="G57" s="71"/>
      <c r="H57" s="71"/>
      <c r="I57" s="71"/>
    </row>
    <row r="58" spans="1:9" x14ac:dyDescent="0.25">
      <c r="A58" s="71"/>
      <c r="B58" s="71"/>
      <c r="C58" s="71"/>
      <c r="D58" s="71"/>
      <c r="E58" s="71"/>
      <c r="F58" s="71"/>
      <c r="G58" s="71"/>
      <c r="H58" s="71"/>
      <c r="I58" s="71"/>
    </row>
    <row r="59" spans="1:9" x14ac:dyDescent="0.25">
      <c r="A59" s="71"/>
      <c r="B59" s="71"/>
      <c r="C59" s="71"/>
      <c r="D59" s="71"/>
      <c r="E59" s="71"/>
      <c r="F59" s="71"/>
      <c r="G59" s="71"/>
      <c r="H59" s="71"/>
      <c r="I59" s="71"/>
    </row>
    <row r="60" spans="1:9" x14ac:dyDescent="0.25">
      <c r="A60" s="71"/>
      <c r="B60" s="71"/>
      <c r="C60" s="71"/>
      <c r="D60" s="71"/>
      <c r="E60" s="71"/>
      <c r="F60" s="71"/>
      <c r="G60" s="71"/>
      <c r="H60" s="71"/>
      <c r="I60" s="71"/>
    </row>
    <row r="61" spans="1:9" x14ac:dyDescent="0.25">
      <c r="A61" s="71"/>
      <c r="B61" s="71"/>
      <c r="C61" s="71"/>
      <c r="D61" s="71"/>
      <c r="E61" s="71"/>
      <c r="F61" s="71"/>
      <c r="G61" s="71"/>
      <c r="H61" s="71"/>
      <c r="I61" s="71"/>
    </row>
    <row r="62" spans="1:9" x14ac:dyDescent="0.25">
      <c r="A62" s="71"/>
      <c r="B62" s="71"/>
      <c r="C62" s="71"/>
      <c r="D62" s="71"/>
      <c r="E62" s="71"/>
      <c r="F62" s="71"/>
      <c r="G62" s="71"/>
      <c r="H62" s="71"/>
      <c r="I62" s="71"/>
    </row>
    <row r="63" spans="1:9" x14ac:dyDescent="0.25">
      <c r="A63" s="71"/>
      <c r="B63" s="71"/>
      <c r="C63" s="71"/>
      <c r="D63" s="71"/>
      <c r="E63" s="71"/>
      <c r="F63" s="71"/>
      <c r="G63" s="71"/>
      <c r="H63" s="71"/>
      <c r="I63" s="71"/>
    </row>
    <row r="64" spans="1:9" x14ac:dyDescent="0.25">
      <c r="A64" s="71"/>
      <c r="B64" s="70"/>
      <c r="C64" s="70"/>
      <c r="D64" s="70"/>
      <c r="E64" s="71"/>
      <c r="F64" s="71"/>
      <c r="G64" s="70"/>
      <c r="H64" s="70"/>
      <c r="I64" s="70"/>
    </row>
    <row r="65" spans="1:9" x14ac:dyDescent="0.25">
      <c r="A65" s="71"/>
      <c r="B65" s="70"/>
      <c r="C65" s="70"/>
      <c r="D65" s="70"/>
      <c r="E65" s="71"/>
      <c r="F65" s="71"/>
      <c r="G65" s="70"/>
      <c r="H65" s="70"/>
      <c r="I65" s="70"/>
    </row>
  </sheetData>
  <mergeCells count="12">
    <mergeCell ref="L31:M31"/>
    <mergeCell ref="A31:G31"/>
    <mergeCell ref="I31:J31"/>
    <mergeCell ref="A19:D19"/>
    <mergeCell ref="F19:J19"/>
    <mergeCell ref="C16:D16"/>
    <mergeCell ref="A10:E10"/>
    <mergeCell ref="C11:D11"/>
    <mergeCell ref="C12:D12"/>
    <mergeCell ref="C13:D13"/>
    <mergeCell ref="C14:D14"/>
    <mergeCell ref="C15:D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0CD94B76D7584EA7F6BBCF16E7979B" ma:contentTypeVersion="15" ma:contentTypeDescription="Create a new document." ma:contentTypeScope="" ma:versionID="8235ca62bc46026987ea830e3fe83f56">
  <xsd:schema xmlns:xsd="http://www.w3.org/2001/XMLSchema" xmlns:xs="http://www.w3.org/2001/XMLSchema" xmlns:p="http://schemas.microsoft.com/office/2006/metadata/properties" xmlns:ns2="cdf3a576-5ecd-4e9e-8f98-c10595d45284" xmlns:ns3="3330d079-1117-4311-9d65-52c6919a0089" targetNamespace="http://schemas.microsoft.com/office/2006/metadata/properties" ma:root="true" ma:fieldsID="03ef28801fdf2045acc2c1529697f70e" ns2:_="" ns3:_="">
    <xsd:import namespace="cdf3a576-5ecd-4e9e-8f98-c10595d45284"/>
    <xsd:import namespace="3330d079-1117-4311-9d65-52c6919a00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3a576-5ecd-4e9e-8f98-c10595d45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02e2a69-eef3-48b0-9462-a1dc6ddc55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0d079-1117-4311-9d65-52c6919a008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5e10664-d0b5-4b45-86b5-9283694e602b}" ma:internalName="TaxCatchAll" ma:showField="CatchAllData" ma:web="3330d079-1117-4311-9d65-52c6919a00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f3a576-5ecd-4e9e-8f98-c10595d45284">
      <Terms xmlns="http://schemas.microsoft.com/office/infopath/2007/PartnerControls"/>
    </lcf76f155ced4ddcb4097134ff3c332f>
    <TaxCatchAll xmlns="3330d079-1117-4311-9d65-52c6919a0089" xsi:nil="true"/>
  </documentManagement>
</p:properties>
</file>

<file path=customXml/itemProps1.xml><?xml version="1.0" encoding="utf-8"?>
<ds:datastoreItem xmlns:ds="http://schemas.openxmlformats.org/officeDocument/2006/customXml" ds:itemID="{273D5E9C-3303-4E01-8F02-F9BE6394A2B6}"/>
</file>

<file path=customXml/itemProps2.xml><?xml version="1.0" encoding="utf-8"?>
<ds:datastoreItem xmlns:ds="http://schemas.openxmlformats.org/officeDocument/2006/customXml" ds:itemID="{CE3585BD-62B6-4F39-9B98-F5261B4E24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972130-99F1-411F-928D-F73F0398F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Perc - Minimum Sizing</vt:lpstr>
      <vt:lpstr>Minimum Dosing</vt:lpstr>
      <vt:lpstr>DO NOT EDIT</vt:lpstr>
    </vt:vector>
  </TitlesOfParts>
  <Company>County of 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Oxenford, Ryan M.</dc:creator>
  <cp:lastModifiedBy>Oxenford, Ryan M.</cp:lastModifiedBy>
  <dcterms:created xsi:type="dcterms:W3CDTF">2024-01-22T16:24:57Z</dcterms:created>
  <dcterms:modified xsi:type="dcterms:W3CDTF">2024-01-26T19:50:08Z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0x010100410CD94B76D7584EA7F6BBCF16E7979B</vt:lpwstr>
  </property>
</Properties>
</file>